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.xml" ContentType="application/vnd.openxmlformats-officedocument.drawing+xml"/>
  <Override PartName="/xl/tables/table7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2"/>
  <workbookPr/>
  <mc:AlternateContent xmlns:mc="http://schemas.openxmlformats.org/markup-compatibility/2006">
    <mc:Choice Requires="x15">
      <x15ac:absPath xmlns:x15ac="http://schemas.microsoft.com/office/spreadsheetml/2010/11/ac" url="https://analysbloggen-my.sharepoint.com/personal/david_stavegardconsulting_se/Documents/"/>
    </mc:Choice>
  </mc:AlternateContent>
  <xr:revisionPtr revIDLastSave="118" documentId="8_{3152496D-26D4-4203-84E0-E39DB0BAA02C}" xr6:coauthVersionLast="47" xr6:coauthVersionMax="47" xr10:uidLastSave="{5FFD637F-7E41-4077-9F3B-C9966BBE29CA}"/>
  <bookViews>
    <workbookView xWindow="-120" yWindow="-120" windowWidth="29040" windowHeight="15720" tabRatio="803" activeTab="6" xr2:uid="{00000000-000D-0000-FFFF-FFFF00000000}"/>
  </bookViews>
  <sheets>
    <sheet name="Anställda" sheetId="1" r:id="rId1"/>
    <sheet name="Produktion" sheetId="2" r:id="rId2"/>
    <sheet name="Reparationer" sheetId="3" r:id="rId3"/>
    <sheet name="Försäljning" sheetId="4" r:id="rId4"/>
    <sheet name="Kostnader" sheetId="5" r:id="rId5"/>
    <sheet name="Lager" sheetId="6" r:id="rId6"/>
    <sheet name="Analy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9" l="1"/>
  <c r="K9" i="9"/>
  <c r="K10" i="9"/>
  <c r="K11" i="9"/>
  <c r="K12" i="9"/>
  <c r="K13" i="9"/>
  <c r="J8" i="9"/>
  <c r="J9" i="9"/>
  <c r="J10" i="9"/>
  <c r="J11" i="9"/>
  <c r="J12" i="9"/>
  <c r="J13" i="9"/>
  <c r="H8" i="9" a="1"/>
  <c r="H8" i="9" s="1"/>
  <c r="H9" i="9" a="1"/>
  <c r="H9" i="9" s="1"/>
  <c r="H10" i="9" a="1"/>
  <c r="H10" i="9" s="1"/>
  <c r="H11" i="9" a="1"/>
  <c r="H11" i="9" s="1"/>
  <c r="H12" i="9" a="1"/>
  <c r="H12" i="9" s="1"/>
  <c r="H13" i="9" a="1"/>
  <c r="H13" i="9" s="1"/>
  <c r="G8" i="9"/>
  <c r="G9" i="9"/>
  <c r="G10" i="9"/>
  <c r="G11" i="9"/>
  <c r="G12" i="9"/>
  <c r="G13" i="9"/>
  <c r="F8" i="9"/>
  <c r="Q24" i="9" s="1"/>
  <c r="F9" i="9"/>
  <c r="Q25" i="9" s="1"/>
  <c r="F10" i="9"/>
  <c r="Q26" i="9" s="1"/>
  <c r="F11" i="9"/>
  <c r="Q27" i="9" s="1"/>
  <c r="F12" i="9"/>
  <c r="Q28" i="9" s="1"/>
  <c r="F13" i="9"/>
  <c r="Q29" i="9" s="1"/>
  <c r="E8" i="9"/>
  <c r="R16" i="9" s="1"/>
  <c r="E9" i="9"/>
  <c r="R17" i="9" s="1"/>
  <c r="E10" i="9"/>
  <c r="R18" i="9" s="1"/>
  <c r="E11" i="9"/>
  <c r="R19" i="9" s="1"/>
  <c r="E12" i="9"/>
  <c r="R20" i="9" s="1"/>
  <c r="E13" i="9"/>
  <c r="R21" i="9" s="1"/>
  <c r="D8" i="9"/>
  <c r="Q16" i="9" s="1"/>
  <c r="D9" i="9"/>
  <c r="Q17" i="9" s="1"/>
  <c r="D10" i="9"/>
  <c r="Q18" i="9" s="1"/>
  <c r="D11" i="9"/>
  <c r="Q19" i="9" s="1"/>
  <c r="D12" i="9"/>
  <c r="Q20" i="9" s="1"/>
  <c r="D13" i="9"/>
  <c r="Q21" i="9" s="1"/>
  <c r="C8" i="9"/>
  <c r="P24" i="9" s="1"/>
  <c r="C9" i="9"/>
  <c r="P25" i="9" s="1"/>
  <c r="C10" i="9"/>
  <c r="P26" i="9" s="1"/>
  <c r="C11" i="9"/>
  <c r="P27" i="9" s="1"/>
  <c r="C12" i="9"/>
  <c r="P28" i="9" s="1"/>
  <c r="C13" i="9"/>
  <c r="L8" i="9" l="1"/>
  <c r="R8" i="9" s="1"/>
  <c r="P21" i="9"/>
  <c r="P29" i="9"/>
  <c r="I8" i="9"/>
  <c r="Q8" i="9" s="1"/>
  <c r="P8" i="9"/>
  <c r="P16" i="9"/>
  <c r="P9" i="9"/>
  <c r="P17" i="9"/>
  <c r="P10" i="9"/>
  <c r="P18" i="9"/>
  <c r="P11" i="9"/>
  <c r="P19" i="9"/>
  <c r="P12" i="9"/>
  <c r="P20" i="9"/>
  <c r="I13" i="9"/>
  <c r="I10" i="9"/>
  <c r="Q10" i="9" s="1"/>
  <c r="A4" i="9" a="1"/>
  <c r="A4" i="9" s="1"/>
  <c r="P13" i="9"/>
  <c r="I11" i="9"/>
  <c r="Q11" i="9" s="1"/>
  <c r="M8" i="9"/>
  <c r="I9" i="9"/>
  <c r="Q9" i="9" s="1"/>
  <c r="I12" i="9"/>
  <c r="Q12" i="9" s="1"/>
  <c r="L9" i="9"/>
  <c r="R9" i="9" s="1"/>
  <c r="L10" i="9"/>
  <c r="L11" i="9"/>
  <c r="R11" i="9" s="1"/>
  <c r="L12" i="9"/>
  <c r="R12" i="9" s="1"/>
  <c r="L13" i="9"/>
  <c r="R13" i="9" s="1"/>
  <c r="Q13" i="9" l="1"/>
  <c r="B4" i="9" a="1"/>
  <c r="B4" i="9" s="1"/>
  <c r="N8" i="9"/>
  <c r="S8" i="9"/>
  <c r="M10" i="9"/>
  <c r="R10" i="9"/>
  <c r="M11" i="9"/>
  <c r="M9" i="9"/>
  <c r="M12" i="9"/>
  <c r="M13" i="9"/>
  <c r="S13" i="9" s="1"/>
  <c r="C4" i="9" a="1"/>
  <c r="C4" i="9" s="1"/>
  <c r="S10" i="9" l="1"/>
  <c r="N10" i="9"/>
  <c r="N11" i="9"/>
  <c r="S11" i="9"/>
  <c r="N9" i="9"/>
  <c r="S9" i="9"/>
  <c r="N12" i="9"/>
  <c r="S12" i="9"/>
  <c r="D4" i="9" a="1"/>
  <c r="D4" i="9" s="1"/>
  <c r="N13" i="9"/>
  <c r="E4" i="9" s="1" a="1"/>
  <c r="E4" i="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<sst xmlns="http://schemas.openxmlformats.org/spreadsheetml/2006/main" count="117" uniqueCount="65">
  <si>
    <t>ID</t>
  </si>
  <si>
    <t>Namn</t>
  </si>
  <si>
    <t>Roll</t>
  </si>
  <si>
    <t>Avdelning</t>
  </si>
  <si>
    <t>Startdatum</t>
  </si>
  <si>
    <t>Månadslön (SEK)</t>
  </si>
  <si>
    <t>Anna Berg</t>
  </si>
  <si>
    <t>VD</t>
  </si>
  <si>
    <t>Administration</t>
  </si>
  <si>
    <t>Erik Lund</t>
  </si>
  <si>
    <t>Produktionschef</t>
  </si>
  <si>
    <t>Fabrik</t>
  </si>
  <si>
    <t>Sara Nilsson</t>
  </si>
  <si>
    <t>Snickare</t>
  </si>
  <si>
    <t>Johan Karlsson</t>
  </si>
  <si>
    <t>Maria Ek</t>
  </si>
  <si>
    <t>Reparatör</t>
  </si>
  <si>
    <t>Verkstad</t>
  </si>
  <si>
    <t>Oskar Holm</t>
  </si>
  <si>
    <t>Lisa Andersson</t>
  </si>
  <si>
    <t>Sälj &amp; Kundkontakt</t>
  </si>
  <si>
    <t>År</t>
  </si>
  <si>
    <t>Kvartal</t>
  </si>
  <si>
    <t>Producerade stolar</t>
  </si>
  <si>
    <t>Materialkostnad (SEK)</t>
  </si>
  <si>
    <t>Arbetstimmar fabrik</t>
  </si>
  <si>
    <t>Q1</t>
  </si>
  <si>
    <t>Q2</t>
  </si>
  <si>
    <t>Q3</t>
  </si>
  <si>
    <t>Q4</t>
  </si>
  <si>
    <t>Reparerade möbler</t>
  </si>
  <si>
    <t>Intäkt per reparation (SEK)</t>
  </si>
  <si>
    <t>Arbetstimmar verkstad</t>
  </si>
  <si>
    <t>Sålda stolar</t>
  </si>
  <si>
    <t>Pris per stol (SEK)</t>
  </si>
  <si>
    <t>Omsättning stolar (SEK)</t>
  </si>
  <si>
    <t>Löner (SEK)</t>
  </si>
  <si>
    <t>Hyra (SEK)</t>
  </si>
  <si>
    <t>El &amp; drift (SEK)</t>
  </si>
  <si>
    <t>Övrigt (SEK)</t>
  </si>
  <si>
    <t>Produkt</t>
  </si>
  <si>
    <t>Startlager</t>
  </si>
  <si>
    <t>Producerat 2024</t>
  </si>
  <si>
    <t>Sålt 2024</t>
  </si>
  <si>
    <t>Lagersaldo</t>
  </si>
  <si>
    <t>Trästol Modell A</t>
  </si>
  <si>
    <t>Trästol Modell B</t>
  </si>
  <si>
    <t>Barstol Modell C</t>
  </si>
  <si>
    <t>Period</t>
  </si>
  <si>
    <t>Totala kostnader</t>
  </si>
  <si>
    <t>📈 Företagsanalys – utveckling per kvartal</t>
  </si>
  <si>
    <t>📌 Senaste kvartalet</t>
  </si>
  <si>
    <t>Total omsättning</t>
  </si>
  <si>
    <t>Resultat</t>
  </si>
  <si>
    <t>Marginal</t>
  </si>
  <si>
    <t>Omsättning reparationer (SEK)</t>
  </si>
  <si>
    <t>Total omsättning (SEK)</t>
  </si>
  <si>
    <t>Rörelsekostnader (SEK)</t>
  </si>
  <si>
    <t>Totala kostnader (SEK)</t>
  </si>
  <si>
    <t>Resultat (SEK)</t>
  </si>
  <si>
    <t>Resultatmarginal</t>
  </si>
  <si>
    <t>Diagramdata (döljs)</t>
  </si>
  <si>
    <t>Producerade</t>
  </si>
  <si>
    <t>Sålda</t>
  </si>
  <si>
    <t>Reparerade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</si>
</sst>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yyyy\-mm\-dd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b/>
      <sz val="11"/>
      <color rgb="FF1F4E7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D9E1F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0" fontId="2" fillId="0" borderId="0" xfId="0" applyFont="1"/>
    <xf numFmtId="0" fontId="4" fillId="3" borderId="0" xfId="0" applyFont="1" applyFill="1"/>
    <xf numFmtId="0" fontId="3" fillId="2" borderId="0" xfId="0" applyFont="1" applyFill="1" applyAlignment="1">
      <alignment horizontal="left"/>
    </xf>
  </cellXfs>
  <cellStyles count="2">
    <cellStyle name="Normal" xfId="0" builtinId="0"/>
    <cellStyle name="Tusental" xfId="1" builtinId="3"/>
  </cellStyles>
  <dxfs count="18"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Omsättning, kostnader &amp; resultat per kvartal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Analys!$Q$7</c:f>
              <c:strCache>
                <c:ptCount val="1"/>
                <c:pt idx="0">
                  <c:v>Total omsättning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Analys!$P$8:$P$13</c:f>
              <c:strCache>
                <c:ptCount val="6"/>
                <c:pt idx="0">
                  <c:v>2024 Q1</c:v>
                </c:pt>
                <c:pt idx="1">
                  <c:v>2024 Q2</c:v>
                </c:pt>
                <c:pt idx="2">
                  <c:v>2024 Q3</c:v>
                </c:pt>
                <c:pt idx="3">
                  <c:v>2024 Q4</c:v>
                </c:pt>
                <c:pt idx="4">
                  <c:v>2025 Q1</c:v>
                </c:pt>
                <c:pt idx="5">
                  <c:v>2025 Q2</c:v>
                </c:pt>
              </c:strCache>
            </c:strRef>
          </c:cat>
          <c:val>
            <c:numRef>
              <c:f>Analys!$Q$8:$Q$13</c:f>
              <c:numCache>
                <c:formatCode>General</c:formatCode>
                <c:ptCount val="6"/>
                <c:pt idx="0">
                  <c:v>318750</c:v>
                </c:pt>
                <c:pt idx="1">
                  <c:v>375700</c:v>
                </c:pt>
                <c:pt idx="2">
                  <c:v>427000</c:v>
                </c:pt>
                <c:pt idx="3">
                  <c:v>491300</c:v>
                </c:pt>
                <c:pt idx="4">
                  <c:v>470550</c:v>
                </c:pt>
                <c:pt idx="5">
                  <c:v>532500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CB-4CD4-B576-F873BD859C10}"/>
            </c:ext>
          </c:extLst>
        </c:ser>
        <c:ser>
          <c:idx val="1"/>
          <c:order val="1"/>
          <c:tx>
            <c:strRef>
              <c:f>Analys!$R$7</c:f>
              <c:strCache>
                <c:ptCount val="1"/>
                <c:pt idx="0">
                  <c:v>Totala kostnader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Analys!$P$8:$P$13</c:f>
              <c:strCache>
                <c:ptCount val="6"/>
                <c:pt idx="0">
                  <c:v>2024 Q1</c:v>
                </c:pt>
                <c:pt idx="1">
                  <c:v>2024 Q2</c:v>
                </c:pt>
                <c:pt idx="2">
                  <c:v>2024 Q3</c:v>
                </c:pt>
                <c:pt idx="3">
                  <c:v>2024 Q4</c:v>
                </c:pt>
                <c:pt idx="4">
                  <c:v>2025 Q1</c:v>
                </c:pt>
                <c:pt idx="5">
                  <c:v>2025 Q2</c:v>
                </c:pt>
              </c:strCache>
            </c:strRef>
          </c:cat>
          <c:val>
            <c:numRef>
              <c:f>Analys!$R$8:$R$13</c:f>
              <c:numCache>
                <c:formatCode>General</c:formatCode>
                <c:ptCount val="6"/>
                <c:pt idx="0">
                  <c:v>851000</c:v>
                </c:pt>
                <c:pt idx="1">
                  <c:v>866000</c:v>
                </c:pt>
                <c:pt idx="2">
                  <c:v>876000</c:v>
                </c:pt>
                <c:pt idx="3">
                  <c:v>890000</c:v>
                </c:pt>
                <c:pt idx="4">
                  <c:v>907000</c:v>
                </c:pt>
                <c:pt idx="5">
                  <c:v>924500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CB-4CD4-B576-F873BD859C10}"/>
            </c:ext>
          </c:extLst>
        </c:ser>
        <c:ser>
          <c:idx val="2"/>
          <c:order val="2"/>
          <c:tx>
            <c:strRef>
              <c:f>Analys!$S$7</c:f>
              <c:strCache>
                <c:ptCount val="1"/>
                <c:pt idx="0">
                  <c:v>Resultat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Analys!$P$8:$P$13</c:f>
              <c:strCache>
                <c:ptCount val="6"/>
                <c:pt idx="0">
                  <c:v>2024 Q1</c:v>
                </c:pt>
                <c:pt idx="1">
                  <c:v>2024 Q2</c:v>
                </c:pt>
                <c:pt idx="2">
                  <c:v>2024 Q3</c:v>
                </c:pt>
                <c:pt idx="3">
                  <c:v>2024 Q4</c:v>
                </c:pt>
                <c:pt idx="4">
                  <c:v>2025 Q1</c:v>
                </c:pt>
                <c:pt idx="5">
                  <c:v>2025 Q2</c:v>
                </c:pt>
              </c:strCache>
            </c:strRef>
          </c:cat>
          <c:val>
            <c:numRef>
              <c:f>Analys!$S$8:$S$13</c:f>
              <c:numCache>
                <c:formatCode>General</c:formatCode>
                <c:ptCount val="6"/>
                <c:pt idx="0">
                  <c:v>-532250</c:v>
                </c:pt>
                <c:pt idx="1">
                  <c:v>-490300</c:v>
                </c:pt>
                <c:pt idx="2">
                  <c:v>-449000</c:v>
                </c:pt>
                <c:pt idx="3">
                  <c:v>-398700</c:v>
                </c:pt>
                <c:pt idx="4">
                  <c:v>-436450</c:v>
                </c:pt>
                <c:pt idx="5">
                  <c:v>-392000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CB-4CD4-B576-F873BD859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0545152"/>
        <c:axId val="1850544672"/>
      </c:lineChart>
      <c:catAx>
        <c:axId val="1850545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Kvartal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850544672"/>
        <c:crosses val="autoZero"/>
        <c:auto val="1"/>
        <c:lblAlgn val="ctr"/>
        <c:lblOffset val="100"/>
        <c:noMultiLvlLbl val="0"/>
      </c:catAx>
      <c:valAx>
        <c:axId val="18505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SEK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850545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Producerat vs sålt (stolar)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Analys!$Q$15</c:f>
              <c:strCache>
                <c:ptCount val="1"/>
                <c:pt idx="0">
                  <c:v>Producerade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Analys!$P$16:$P$21</c:f>
              <c:strCache>
                <c:ptCount val="6"/>
                <c:pt idx="0">
                  <c:v>2024 Q1</c:v>
                </c:pt>
                <c:pt idx="1">
                  <c:v>2024 Q2</c:v>
                </c:pt>
                <c:pt idx="2">
                  <c:v>2024 Q3</c:v>
                </c:pt>
                <c:pt idx="3">
                  <c:v>2024 Q4</c:v>
                </c:pt>
                <c:pt idx="4">
                  <c:v>2025 Q1</c:v>
                </c:pt>
                <c:pt idx="5">
                  <c:v>2025 Q2</c:v>
                </c:pt>
              </c:strCache>
            </c:strRef>
          </c:cat>
          <c:val>
            <c:numRef>
              <c:f>Analys!$Q$16:$Q$21</c:f>
              <c:numCache>
                <c:formatCode>General</c:formatCode>
                <c:ptCount val="6"/>
                <c:pt idx="0">
                  <c:v>180</c:v>
                </c:pt>
                <c:pt idx="1">
                  <c:v>210</c:v>
                </c:pt>
                <c:pt idx="2">
                  <c:v>230</c:v>
                </c:pt>
                <c:pt idx="3">
                  <c:v>260</c:v>
                </c:pt>
                <c:pt idx="4">
                  <c:v>240</c:v>
                </c:pt>
                <c:pt idx="5">
                  <c:v>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89-4627-8D72-4D9199374383}"/>
            </c:ext>
          </c:extLst>
        </c:ser>
        <c:ser>
          <c:idx val="1"/>
          <c:order val="1"/>
          <c:tx>
            <c:strRef>
              <c:f>Analys!$R$15</c:f>
              <c:strCache>
                <c:ptCount val="1"/>
                <c:pt idx="0">
                  <c:v>Sålda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Analys!$P$16:$P$21</c:f>
              <c:strCache>
                <c:ptCount val="6"/>
                <c:pt idx="0">
                  <c:v>2024 Q1</c:v>
                </c:pt>
                <c:pt idx="1">
                  <c:v>2024 Q2</c:v>
                </c:pt>
                <c:pt idx="2">
                  <c:v>2024 Q3</c:v>
                </c:pt>
                <c:pt idx="3">
                  <c:v>2024 Q4</c:v>
                </c:pt>
                <c:pt idx="4">
                  <c:v>2025 Q1</c:v>
                </c:pt>
                <c:pt idx="5">
                  <c:v>2025 Q2</c:v>
                </c:pt>
              </c:strCache>
            </c:strRef>
          </c:cat>
          <c:val>
            <c:numRef>
              <c:f>Analys!$R$16:$R$21</c:f>
              <c:numCache>
                <c:formatCode>General</c:formatCode>
                <c:ptCount val="6"/>
                <c:pt idx="0">
                  <c:v>170</c:v>
                </c:pt>
                <c:pt idx="1">
                  <c:v>200</c:v>
                </c:pt>
                <c:pt idx="2">
                  <c:v>220</c:v>
                </c:pt>
                <c:pt idx="3">
                  <c:v>250</c:v>
                </c:pt>
                <c:pt idx="4">
                  <c:v>230</c:v>
                </c:pt>
                <c:pt idx="5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89-4627-8D72-4D9199374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12504240"/>
        <c:axId val="912504720"/>
      </c:barChart>
      <c:catAx>
        <c:axId val="9125042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Kvartal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12504720"/>
        <c:crosses val="autoZero"/>
        <c:auto val="1"/>
        <c:lblAlgn val="ctr"/>
        <c:lblOffset val="100"/>
        <c:noMultiLvlLbl val="0"/>
      </c:catAx>
      <c:valAx>
        <c:axId val="91250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Antal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12504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Reparationer (antal)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Analys!$Q$23</c:f>
              <c:strCache>
                <c:ptCount val="1"/>
                <c:pt idx="0">
                  <c:v>Reparerade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Analys!$P$24:$P$29</c:f>
              <c:strCache>
                <c:ptCount val="6"/>
                <c:pt idx="0">
                  <c:v>2024 Q1</c:v>
                </c:pt>
                <c:pt idx="1">
                  <c:v>2024 Q2</c:v>
                </c:pt>
                <c:pt idx="2">
                  <c:v>2024 Q3</c:v>
                </c:pt>
                <c:pt idx="3">
                  <c:v>2024 Q4</c:v>
                </c:pt>
                <c:pt idx="4">
                  <c:v>2025 Q1</c:v>
                </c:pt>
                <c:pt idx="5">
                  <c:v>2025 Q2</c:v>
                </c:pt>
              </c:strCache>
            </c:strRef>
          </c:cat>
          <c:val>
            <c:numRef>
              <c:f>Analys!$Q$24:$Q$29</c:f>
              <c:numCache>
                <c:formatCode>General</c:formatCode>
                <c:ptCount val="6"/>
                <c:pt idx="0">
                  <c:v>95</c:v>
                </c:pt>
                <c:pt idx="1">
                  <c:v>110</c:v>
                </c:pt>
                <c:pt idx="2">
                  <c:v>120</c:v>
                </c:pt>
                <c:pt idx="3">
                  <c:v>140</c:v>
                </c:pt>
                <c:pt idx="4">
                  <c:v>135</c:v>
                </c:pt>
                <c:pt idx="5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D6-4854-A950-907A98931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7688912"/>
        <c:axId val="1487689392"/>
      </c:lineChart>
      <c:catAx>
        <c:axId val="1487688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Kvartal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487689392"/>
        <c:crosses val="autoZero"/>
        <c:auto val="1"/>
        <c:lblAlgn val="ctr"/>
        <c:lblOffset val="100"/>
        <c:noMultiLvlLbl val="0"/>
      </c:catAx>
      <c:valAx>
        <c:axId val="148768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Antal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487688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14</xdr:col>
      <xdr:colOff>0</xdr:colOff>
      <xdr:row>32</xdr:row>
      <xdr:rowOff>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BB274EBC-5A6D-AF6E-7EF5-8CF89D51BF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330653</xdr:colOff>
      <xdr:row>30</xdr:row>
      <xdr:rowOff>108857</xdr:rowOff>
    </xdr:from>
    <xdr:to>
      <xdr:col>32</xdr:col>
      <xdr:colOff>100693</xdr:colOff>
      <xdr:row>48</xdr:row>
      <xdr:rowOff>108857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E497BC3E-19E1-1F50-CCC2-A02FEBEEEA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14</xdr:col>
      <xdr:colOff>0</xdr:colOff>
      <xdr:row>47</xdr:row>
      <xdr:rowOff>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C484ED43-9D03-27E2-5B5A-B55D3BA9C9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898071</xdr:colOff>
      <xdr:row>2</xdr:row>
      <xdr:rowOff>149680</xdr:rowOff>
    </xdr:from>
    <xdr:to>
      <xdr:col>7</xdr:col>
      <xdr:colOff>1973036</xdr:colOff>
      <xdr:row>8</xdr:row>
      <xdr:rowOff>54430</xdr:rowOff>
    </xdr:to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67F7D82E-9EA3-0B71-1A56-85A41BAE1386}"/>
            </a:ext>
          </a:extLst>
        </xdr:cNvPr>
        <xdr:cNvSpPr/>
      </xdr:nvSpPr>
      <xdr:spPr>
        <a:xfrm>
          <a:off x="4953000" y="639537"/>
          <a:ext cx="4014107" cy="104775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/>
            <a:t>Den här sidan har alltså Copilot-agenten</a:t>
          </a:r>
          <a:r>
            <a:rPr lang="sv-SE" sz="1100" baseline="0"/>
            <a:t> själv skapat och allt innehåll är gjort av den. </a:t>
          </a:r>
        </a:p>
        <a:p>
          <a:pPr algn="l"/>
          <a:endParaRPr lang="sv-SE" sz="1100" baseline="0"/>
        </a:p>
        <a:p>
          <a:pPr algn="l"/>
          <a:r>
            <a:rPr lang="sv-SE" sz="1100" baseline="0"/>
            <a:t>:: David</a:t>
          </a:r>
          <a:endParaRPr lang="sv-SE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Anstallda" displayName="tblAnstallda" ref="A1:F8">
  <autoFilter ref="A1:F8" xr:uid="{00000000-0009-0000-0100-000001000000}"/>
  <tableColumns count="6">
    <tableColumn id="1" xr3:uid="{00000000-0010-0000-0000-000001000000}" name="ID"/>
    <tableColumn id="2" xr3:uid="{00000000-0010-0000-0000-000002000000}" name="Namn"/>
    <tableColumn id="3" xr3:uid="{00000000-0010-0000-0000-000003000000}" name="Roll"/>
    <tableColumn id="4" xr3:uid="{00000000-0010-0000-0000-000004000000}" name="Avdelning"/>
    <tableColumn id="5" xr3:uid="{00000000-0010-0000-0000-000005000000}" name="Startdatum"/>
    <tableColumn id="6" xr3:uid="{00000000-0010-0000-0000-000006000000}" name="Månadslön (SEK)" dataDxfId="17" dataCellStyle="Tusental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Produktion" displayName="tblProduktion" ref="A1:E7">
  <autoFilter ref="A1:E7" xr:uid="{00000000-0009-0000-0100-000002000000}"/>
  <tableColumns count="5">
    <tableColumn id="1" xr3:uid="{00000000-0010-0000-0100-000001000000}" name="År"/>
    <tableColumn id="2" xr3:uid="{00000000-0010-0000-0100-000002000000}" name="Kvartal"/>
    <tableColumn id="3" xr3:uid="{00000000-0010-0000-0100-000003000000}" name="Producerade stolar" dataDxfId="16" dataCellStyle="Tusental"/>
    <tableColumn id="4" xr3:uid="{00000000-0010-0000-0100-000004000000}" name="Materialkostnad (SEK)" dataDxfId="15" dataCellStyle="Tusental"/>
    <tableColumn id="5" xr3:uid="{00000000-0010-0000-0100-000005000000}" name="Arbetstimmar fabrik" dataDxfId="14" dataCellStyle="Tusental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blReparationer" displayName="tblReparationer" ref="A1:E7">
  <autoFilter ref="A1:E7" xr:uid="{00000000-0009-0000-0100-000003000000}"/>
  <tableColumns count="5">
    <tableColumn id="1" xr3:uid="{00000000-0010-0000-0200-000001000000}" name="År"/>
    <tableColumn id="2" xr3:uid="{00000000-0010-0000-0200-000002000000}" name="Kvartal"/>
    <tableColumn id="3" xr3:uid="{00000000-0010-0000-0200-000003000000}" name="Reparerade möbler" dataDxfId="13" dataCellStyle="Tusental"/>
    <tableColumn id="4" xr3:uid="{00000000-0010-0000-0200-000004000000}" name="Intäkt per reparation (SEK)" dataDxfId="12" dataCellStyle="Tusental"/>
    <tableColumn id="5" xr3:uid="{00000000-0010-0000-0200-000005000000}" name="Arbetstimmar verkstad" dataDxfId="11" dataCellStyle="Tusental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blForsaljning" displayName="tblForsaljning" ref="A1:E7">
  <autoFilter ref="A1:E7" xr:uid="{00000000-0009-0000-0100-000004000000}"/>
  <tableColumns count="5">
    <tableColumn id="1" xr3:uid="{00000000-0010-0000-0300-000001000000}" name="År"/>
    <tableColumn id="2" xr3:uid="{00000000-0010-0000-0300-000002000000}" name="Kvartal"/>
    <tableColumn id="3" xr3:uid="{00000000-0010-0000-0300-000003000000}" name="Sålda stolar" dataDxfId="10" dataCellStyle="Tusental"/>
    <tableColumn id="4" xr3:uid="{00000000-0010-0000-0300-000004000000}" name="Pris per stol (SEK)" dataDxfId="9" dataCellStyle="Tusental"/>
    <tableColumn id="5" xr3:uid="{00000000-0010-0000-0300-000005000000}" name="Omsättning stolar (SEK)" dataDxfId="8" dataCellStyle="Tusental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blKostnader" displayName="tblKostnader" ref="A1:F7">
  <autoFilter ref="A1:F7" xr:uid="{00000000-0009-0000-0100-000005000000}"/>
  <tableColumns count="6">
    <tableColumn id="1" xr3:uid="{00000000-0010-0000-0400-000001000000}" name="År"/>
    <tableColumn id="2" xr3:uid="{00000000-0010-0000-0400-000002000000}" name="Kvartal"/>
    <tableColumn id="3" xr3:uid="{00000000-0010-0000-0400-000003000000}" name="Löner (SEK)" dataDxfId="7" dataCellStyle="Tusental"/>
    <tableColumn id="4" xr3:uid="{00000000-0010-0000-0400-000004000000}" name="Hyra (SEK)" dataDxfId="6" dataCellStyle="Tusental"/>
    <tableColumn id="5" xr3:uid="{00000000-0010-0000-0400-000005000000}" name="El &amp; drift (SEK)" dataDxfId="5" dataCellStyle="Tusental"/>
    <tableColumn id="6" xr3:uid="{00000000-0010-0000-0400-000006000000}" name="Övrigt (SEK)" dataDxfId="4" dataCellStyle="Tusental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blLager" displayName="tblLager" ref="A1:E4">
  <autoFilter ref="A1:E4" xr:uid="{00000000-0009-0000-0100-000006000000}"/>
  <tableColumns count="5">
    <tableColumn id="1" xr3:uid="{00000000-0010-0000-0500-000001000000}" name="Produkt"/>
    <tableColumn id="2" xr3:uid="{00000000-0010-0000-0500-000002000000}" name="Startlager" dataDxfId="3" dataCellStyle="Tusental"/>
    <tableColumn id="3" xr3:uid="{00000000-0010-0000-0500-000003000000}" name="Producerat 2024" dataDxfId="2" dataCellStyle="Tusental"/>
    <tableColumn id="4" xr3:uid="{00000000-0010-0000-0500-000004000000}" name="Sålt 2024" dataDxfId="1" dataCellStyle="Tusental"/>
    <tableColumn id="5" xr3:uid="{00000000-0010-0000-0500-000005000000}" name="Lagersaldo" dataDxfId="0" dataCellStyle="Tusental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437B8A5-76A4-4A9C-BADD-A39D8219434E}" name="tblAnalysKvartal" displayName="tblAnalysKvartal" ref="A7:N13" totalsRowShown="0">
  <autoFilter ref="A7:N13" xr:uid="{0437B8A5-76A4-4A9C-BADD-A39D8219434E}"/>
  <tableColumns count="14">
    <tableColumn id="1" xr3:uid="{FDDF2AC1-533F-4732-91B9-755FD4205313}" name="År"/>
    <tableColumn id="2" xr3:uid="{F4F0B5EE-6CD0-4F39-93D1-7C7070091E61}" name="Kvartal"/>
    <tableColumn id="3" xr3:uid="{FD106871-A254-4099-88C7-DE273F282B7F}" name="Period">
      <calculatedColumnFormula>tblAnalysKvartal[[#This Row],[År]]&amp;" "&amp;tblAnalysKvartal[[#This Row],[Kvartal]]</calculatedColumnFormula>
    </tableColumn>
    <tableColumn id="4" xr3:uid="{D91C59DA-EF15-4EC4-A93D-E6890743D484}" name="Producerade stolar">
      <calculatedColumnFormula>SUMIFS(tblProduktion[Producerade stolar],tblProduktion[År],tblAnalysKvartal[[#This Row],[År]],tblProduktion[Kvartal],tblAnalysKvartal[[#This Row],[Kvartal]])</calculatedColumnFormula>
    </tableColumn>
    <tableColumn id="5" xr3:uid="{EA4D6372-4EF2-41ED-AD51-5AFD45C8F201}" name="Sålda stolar">
      <calculatedColumnFormula>SUMIFS(tblForsaljning[Sålda stolar],tblForsaljning[År],tblAnalysKvartal[[#This Row],[År]],tblForsaljning[Kvartal],tblAnalysKvartal[[#This Row],[Kvartal]])</calculatedColumnFormula>
    </tableColumn>
    <tableColumn id="6" xr3:uid="{CFE7752D-9B48-44A8-89A6-D979549A93B2}" name="Reparerade möbler">
      <calculatedColumnFormula>SUMIFS(tblReparationer[Reparerade möbler],tblReparationer[År],tblAnalysKvartal[[#This Row],[År]],tblReparationer[Kvartal],tblAnalysKvartal[[#This Row],[Kvartal]])</calculatedColumnFormula>
    </tableColumn>
    <tableColumn id="7" xr3:uid="{5CDD2833-B7D4-4064-933D-BCECA406B33F}" name="Omsättning stolar (SEK)">
      <calculatedColumnFormula>SUMIFS(tblForsaljning[Omsättning stolar (SEK)],tblForsaljning[År],tblAnalysKvartal[[#This Row],[År]],tblForsaljning[Kvartal],tblAnalysKvartal[[#This Row],[Kvartal]])</calculatedColumnFormula>
    </tableColumn>
    <tableColumn id="8" xr3:uid="{086A5A97-6494-479F-8367-31A181F0E281}" name="Omsättning reparationer (SEK)">
      <calculatedColumnFormula array="1">SUMPRODUCT((tblReparationer[År]=tblAnalysKvartal[[#This Row],[År]])*(tblReparationer[Kvartal]=tblAnalysKvartal[[#This Row],[Kvartal]])*tblReparationer[Reparerade möbler]*tblReparationer[Intäkt per reparation (SEK)])</calculatedColumnFormula>
    </tableColumn>
    <tableColumn id="9" xr3:uid="{6162B7AB-D1A0-4E4A-887F-37844F46772F}" name="Total omsättning (SEK)">
      <calculatedColumnFormula>tblAnalysKvartal[[#This Row],[Omsättning stolar (SEK)]]+tblAnalysKvartal[[#This Row],[Omsättning reparationer (SEK)]]</calculatedColumnFormula>
    </tableColumn>
    <tableColumn id="10" xr3:uid="{8432B6B1-9A4D-4663-9B7B-A0010E01A3C7}" name="Materialkostnad (SEK)">
      <calculatedColumnFormula>SUMIFS(tblProduktion[Materialkostnad (SEK)],tblProduktion[År],tblAnalysKvartal[[#This Row],[År]],tblProduktion[Kvartal],tblAnalysKvartal[[#This Row],[Kvartal]])</calculatedColumnFormula>
    </tableColumn>
    <tableColumn id="11" xr3:uid="{D9638C46-E69A-4DD0-AE3C-5ECC1613EB67}" name="Rörelsekostnader (SEK)">
      <calculatedColumnFormula>SUMIFS(tblKostnader[Löner (SEK)],tblKostnader[År],tblAnalysKvartal[[#This Row],[År]],tblKostnader[Kvartal],tblAnalysKvartal[[#This Row],[Kvartal]]) + SUMIFS(tblKostnader[Hyra (SEK)],tblKostnader[År],tblAnalysKvartal[[#This Row],[År]],tblKostnader[Kvartal],tblAnalysKvartal[[#This Row],[Kvartal]]) + SUMIFS(tblKostnader[El &amp; drift (SEK)],tblKostnader[År],tblAnalysKvartal[[#This Row],[År]],tblKostnader[Kvartal],tblAnalysKvartal[[#This Row],[Kvartal]]) + SUMIFS(tblKostnader[Övrigt (SEK)],tblKostnader[År],tblAnalysKvartal[[#This Row],[År]],tblKostnader[Kvartal],tblAnalysKvartal[[#This Row],[Kvartal]])</calculatedColumnFormula>
    </tableColumn>
    <tableColumn id="12" xr3:uid="{DD961332-9D82-49EE-A10B-FC3EEB8ECE10}" name="Totala kostnader (SEK)">
      <calculatedColumnFormula>tblAnalysKvartal[[#This Row],[Materialkostnad (SEK)]]+tblAnalysKvartal[[#This Row],[Rörelsekostnader (SEK)]]</calculatedColumnFormula>
    </tableColumn>
    <tableColumn id="13" xr3:uid="{87E3EEED-0A00-47C1-A34B-9D968C2292A3}" name="Resultat (SEK)">
      <calculatedColumnFormula>tblAnalysKvartal[[#This Row],[Total omsättning (SEK)]]-tblAnalysKvartal[[#This Row],[Totala kostnader (SEK)]]</calculatedColumnFormula>
    </tableColumn>
    <tableColumn id="14" xr3:uid="{BB4C1F61-B244-471F-9A17-ABC8BFD7295B}" name="Resultatmarginal">
      <calculatedColumnFormula>IFERROR(tblAnalysKvartal[[#This Row],[Resultat (SEK)]]/tblAnalysKvartal[[#This Row],[Total omsättning (SEK)]],0)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Stavegård Consultings fä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94D3A"/>
      </a:accent1>
      <a:accent2>
        <a:srgbClr val="D5702B"/>
      </a:accent2>
      <a:accent3>
        <a:srgbClr val="F4C430"/>
      </a:accent3>
      <a:accent4>
        <a:srgbClr val="222222"/>
      </a:accent4>
      <a:accent5>
        <a:srgbClr val="F4EFE9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>
      <selection activeCell="E3" sqref="E3"/>
    </sheetView>
  </sheetViews>
  <sheetFormatPr defaultRowHeight="15" x14ac:dyDescent="0.25"/>
  <cols>
    <col min="2" max="2" width="14.28515625" bestFit="1" customWidth="1"/>
    <col min="5" max="5" width="19.28515625" customWidth="1"/>
    <col min="6" max="6" width="20.855468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t="s">
        <v>6</v>
      </c>
      <c r="C2" t="s">
        <v>7</v>
      </c>
      <c r="D2" t="s">
        <v>8</v>
      </c>
      <c r="E2" s="1">
        <v>43160</v>
      </c>
      <c r="F2" s="2">
        <v>52000</v>
      </c>
    </row>
    <row r="3" spans="1:6" x14ac:dyDescent="0.25">
      <c r="A3">
        <v>2</v>
      </c>
      <c r="B3" t="s">
        <v>9</v>
      </c>
      <c r="C3" t="s">
        <v>10</v>
      </c>
      <c r="D3" t="s">
        <v>11</v>
      </c>
      <c r="E3" s="1">
        <v>43631</v>
      </c>
      <c r="F3" s="2">
        <v>42000</v>
      </c>
    </row>
    <row r="4" spans="1:6" x14ac:dyDescent="0.25">
      <c r="A4">
        <v>3</v>
      </c>
      <c r="B4" t="s">
        <v>12</v>
      </c>
      <c r="C4" t="s">
        <v>13</v>
      </c>
      <c r="D4" t="s">
        <v>11</v>
      </c>
      <c r="E4" s="1">
        <v>43840</v>
      </c>
      <c r="F4" s="2">
        <v>33000</v>
      </c>
    </row>
    <row r="5" spans="1:6" x14ac:dyDescent="0.25">
      <c r="A5">
        <v>4</v>
      </c>
      <c r="B5" t="s">
        <v>14</v>
      </c>
      <c r="C5" t="s">
        <v>13</v>
      </c>
      <c r="D5" t="s">
        <v>11</v>
      </c>
      <c r="E5" s="1">
        <v>44291</v>
      </c>
      <c r="F5" s="2">
        <v>32000</v>
      </c>
    </row>
    <row r="6" spans="1:6" x14ac:dyDescent="0.25">
      <c r="A6">
        <v>5</v>
      </c>
      <c r="B6" t="s">
        <v>15</v>
      </c>
      <c r="C6" t="s">
        <v>16</v>
      </c>
      <c r="D6" t="s">
        <v>17</v>
      </c>
      <c r="E6" s="1">
        <v>43709</v>
      </c>
      <c r="F6" s="2">
        <v>31000</v>
      </c>
    </row>
    <row r="7" spans="1:6" x14ac:dyDescent="0.25">
      <c r="A7">
        <v>6</v>
      </c>
      <c r="B7" t="s">
        <v>18</v>
      </c>
      <c r="C7" t="s">
        <v>16</v>
      </c>
      <c r="D7" t="s">
        <v>17</v>
      </c>
      <c r="E7" s="1">
        <v>44606</v>
      </c>
      <c r="F7" s="2">
        <v>30000</v>
      </c>
    </row>
    <row r="8" spans="1:6" x14ac:dyDescent="0.25">
      <c r="A8">
        <v>7</v>
      </c>
      <c r="B8" t="s">
        <v>19</v>
      </c>
      <c r="C8" t="s">
        <v>20</v>
      </c>
      <c r="D8" t="s">
        <v>8</v>
      </c>
      <c r="E8" s="1">
        <v>44428</v>
      </c>
      <c r="F8" s="2">
        <v>34000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activeCell="D4" sqref="D4"/>
    </sheetView>
  </sheetViews>
  <sheetFormatPr defaultRowHeight="15" x14ac:dyDescent="0.25"/>
  <cols>
    <col min="3" max="3" width="9.28515625" bestFit="1" customWidth="1"/>
    <col min="4" max="4" width="10.42578125" bestFit="1" customWidth="1"/>
    <col min="5" max="5" width="9.28515625" bestFit="1" customWidth="1"/>
  </cols>
  <sheetData>
    <row r="1" spans="1:5" x14ac:dyDescent="0.25">
      <c r="A1" t="s">
        <v>21</v>
      </c>
      <c r="B1" t="s">
        <v>22</v>
      </c>
      <c r="C1" t="s">
        <v>23</v>
      </c>
      <c r="D1" t="s">
        <v>24</v>
      </c>
      <c r="E1" t="s">
        <v>25</v>
      </c>
    </row>
    <row r="2" spans="1:5" x14ac:dyDescent="0.25">
      <c r="A2">
        <v>2024</v>
      </c>
      <c r="B2" t="s">
        <v>26</v>
      </c>
      <c r="C2" s="2">
        <v>180</v>
      </c>
      <c r="D2" s="2">
        <v>54000</v>
      </c>
      <c r="E2" s="2">
        <v>720</v>
      </c>
    </row>
    <row r="3" spans="1:5" x14ac:dyDescent="0.25">
      <c r="A3">
        <v>2024</v>
      </c>
      <c r="B3" t="s">
        <v>27</v>
      </c>
      <c r="C3" s="2">
        <v>210</v>
      </c>
      <c r="D3" s="2">
        <v>63000</v>
      </c>
      <c r="E3" s="2">
        <v>810</v>
      </c>
    </row>
    <row r="4" spans="1:5" x14ac:dyDescent="0.25">
      <c r="A4">
        <v>2024</v>
      </c>
      <c r="B4" t="s">
        <v>28</v>
      </c>
      <c r="C4" s="2">
        <v>230</v>
      </c>
      <c r="D4" s="2">
        <v>69000</v>
      </c>
      <c r="E4" s="2">
        <v>860</v>
      </c>
    </row>
    <row r="5" spans="1:5" x14ac:dyDescent="0.25">
      <c r="A5">
        <v>2024</v>
      </c>
      <c r="B5" t="s">
        <v>29</v>
      </c>
      <c r="C5" s="2">
        <v>260</v>
      </c>
      <c r="D5" s="2">
        <v>78000</v>
      </c>
      <c r="E5" s="2">
        <v>920</v>
      </c>
    </row>
    <row r="6" spans="1:5" x14ac:dyDescent="0.25">
      <c r="A6">
        <v>2025</v>
      </c>
      <c r="B6" t="s">
        <v>26</v>
      </c>
      <c r="C6" s="2">
        <v>240</v>
      </c>
      <c r="D6" s="2">
        <v>72000</v>
      </c>
      <c r="E6" s="2">
        <v>870</v>
      </c>
    </row>
    <row r="7" spans="1:5" x14ac:dyDescent="0.25">
      <c r="A7">
        <v>2025</v>
      </c>
      <c r="B7" t="s">
        <v>27</v>
      </c>
      <c r="C7" s="2">
        <v>275</v>
      </c>
      <c r="D7" s="2">
        <v>82500</v>
      </c>
      <c r="E7" s="2">
        <v>950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workbookViewId="0">
      <selection activeCell="D5" sqref="D5"/>
    </sheetView>
  </sheetViews>
  <sheetFormatPr defaultRowHeight="15" x14ac:dyDescent="0.25"/>
  <cols>
    <col min="4" max="4" width="27" bestFit="1" customWidth="1"/>
    <col min="5" max="5" width="19.7109375" customWidth="1"/>
  </cols>
  <sheetData>
    <row r="1" spans="1:5" x14ac:dyDescent="0.25">
      <c r="A1" t="s">
        <v>21</v>
      </c>
      <c r="B1" t="s">
        <v>22</v>
      </c>
      <c r="C1" t="s">
        <v>30</v>
      </c>
      <c r="D1" t="s">
        <v>31</v>
      </c>
      <c r="E1" t="s">
        <v>32</v>
      </c>
    </row>
    <row r="2" spans="1:5" x14ac:dyDescent="0.25">
      <c r="A2">
        <v>2024</v>
      </c>
      <c r="B2" t="s">
        <v>26</v>
      </c>
      <c r="C2" s="2">
        <v>95</v>
      </c>
      <c r="D2" s="2">
        <v>850</v>
      </c>
      <c r="E2" s="2">
        <v>320</v>
      </c>
    </row>
    <row r="3" spans="1:5" x14ac:dyDescent="0.25">
      <c r="A3">
        <v>2024</v>
      </c>
      <c r="B3" t="s">
        <v>27</v>
      </c>
      <c r="C3" s="2">
        <v>110</v>
      </c>
      <c r="D3" s="2">
        <v>870</v>
      </c>
      <c r="E3" s="2">
        <v>350</v>
      </c>
    </row>
    <row r="4" spans="1:5" x14ac:dyDescent="0.25">
      <c r="A4">
        <v>2024</v>
      </c>
      <c r="B4" t="s">
        <v>28</v>
      </c>
      <c r="C4" s="2">
        <v>120</v>
      </c>
      <c r="D4" s="2">
        <v>900</v>
      </c>
      <c r="E4" s="2">
        <v>370</v>
      </c>
    </row>
    <row r="5" spans="1:5" x14ac:dyDescent="0.25">
      <c r="A5">
        <v>2024</v>
      </c>
      <c r="B5" t="s">
        <v>29</v>
      </c>
      <c r="C5" s="2">
        <v>140</v>
      </c>
      <c r="D5" s="2">
        <v>920</v>
      </c>
      <c r="E5" s="2">
        <v>410</v>
      </c>
    </row>
    <row r="6" spans="1:5" x14ac:dyDescent="0.25">
      <c r="A6">
        <v>2025</v>
      </c>
      <c r="B6" t="s">
        <v>26</v>
      </c>
      <c r="C6" s="2">
        <v>135</v>
      </c>
      <c r="D6" s="2">
        <v>930</v>
      </c>
      <c r="E6" s="2">
        <v>400</v>
      </c>
    </row>
    <row r="7" spans="1:5" x14ac:dyDescent="0.25">
      <c r="A7">
        <v>2025</v>
      </c>
      <c r="B7" t="s">
        <v>27</v>
      </c>
      <c r="C7" s="2">
        <v>150</v>
      </c>
      <c r="D7" s="2">
        <v>950</v>
      </c>
      <c r="E7" s="2">
        <v>430</v>
      </c>
    </row>
  </sheetData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>
      <selection activeCell="C5" sqref="C5"/>
    </sheetView>
  </sheetViews>
  <sheetFormatPr defaultRowHeight="15" x14ac:dyDescent="0.25"/>
  <cols>
    <col min="3" max="4" width="9.42578125" bestFit="1" customWidth="1"/>
    <col min="5" max="5" width="11.42578125" bestFit="1" customWidth="1"/>
  </cols>
  <sheetData>
    <row r="1" spans="1:5" x14ac:dyDescent="0.25">
      <c r="A1" t="s">
        <v>21</v>
      </c>
      <c r="B1" t="s">
        <v>22</v>
      </c>
      <c r="C1" t="s">
        <v>33</v>
      </c>
      <c r="D1" t="s">
        <v>34</v>
      </c>
      <c r="E1" t="s">
        <v>35</v>
      </c>
    </row>
    <row r="2" spans="1:5" x14ac:dyDescent="0.25">
      <c r="A2">
        <v>2024</v>
      </c>
      <c r="B2" t="s">
        <v>26</v>
      </c>
      <c r="C2" s="2">
        <v>170</v>
      </c>
      <c r="D2" s="2">
        <v>1400</v>
      </c>
      <c r="E2" s="2">
        <v>238000</v>
      </c>
    </row>
    <row r="3" spans="1:5" x14ac:dyDescent="0.25">
      <c r="A3">
        <v>2024</v>
      </c>
      <c r="B3" t="s">
        <v>27</v>
      </c>
      <c r="C3" s="2">
        <v>200</v>
      </c>
      <c r="D3" s="2">
        <v>1400</v>
      </c>
      <c r="E3" s="2">
        <v>280000</v>
      </c>
    </row>
    <row r="4" spans="1:5" x14ac:dyDescent="0.25">
      <c r="A4">
        <v>2024</v>
      </c>
      <c r="B4" t="s">
        <v>28</v>
      </c>
      <c r="C4" s="2">
        <v>220</v>
      </c>
      <c r="D4" s="2">
        <v>1450</v>
      </c>
      <c r="E4" s="2">
        <v>319000</v>
      </c>
    </row>
    <row r="5" spans="1:5" x14ac:dyDescent="0.25">
      <c r="A5">
        <v>2024</v>
      </c>
      <c r="B5" t="s">
        <v>29</v>
      </c>
      <c r="C5" s="2">
        <v>250</v>
      </c>
      <c r="D5" s="2">
        <v>1450</v>
      </c>
      <c r="E5" s="2">
        <v>362500</v>
      </c>
    </row>
    <row r="6" spans="1:5" x14ac:dyDescent="0.25">
      <c r="A6">
        <v>2025</v>
      </c>
      <c r="B6" t="s">
        <v>26</v>
      </c>
      <c r="C6" s="2">
        <v>230</v>
      </c>
      <c r="D6" s="2">
        <v>1500</v>
      </c>
      <c r="E6" s="2">
        <v>345000</v>
      </c>
    </row>
    <row r="7" spans="1:5" x14ac:dyDescent="0.25">
      <c r="A7">
        <v>2025</v>
      </c>
      <c r="B7" t="s">
        <v>27</v>
      </c>
      <c r="C7" s="2">
        <v>260</v>
      </c>
      <c r="D7" s="2">
        <v>1500</v>
      </c>
      <c r="E7" s="2">
        <v>390000</v>
      </c>
    </row>
  </sheetData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workbookViewId="0">
      <selection activeCell="C6" sqref="C6"/>
    </sheetView>
  </sheetViews>
  <sheetFormatPr defaultRowHeight="15" x14ac:dyDescent="0.25"/>
  <cols>
    <col min="3" max="3" width="13.7109375" bestFit="1" customWidth="1"/>
    <col min="4" max="6" width="12.5703125" bestFit="1" customWidth="1"/>
  </cols>
  <sheetData>
    <row r="1" spans="1:6" x14ac:dyDescent="0.25">
      <c r="A1" t="s">
        <v>21</v>
      </c>
      <c r="B1" t="s">
        <v>22</v>
      </c>
      <c r="C1" t="s">
        <v>36</v>
      </c>
      <c r="D1" t="s">
        <v>37</v>
      </c>
      <c r="E1" t="s">
        <v>38</v>
      </c>
      <c r="F1" t="s">
        <v>39</v>
      </c>
    </row>
    <row r="2" spans="1:6" x14ac:dyDescent="0.25">
      <c r="A2">
        <v>2024</v>
      </c>
      <c r="B2" t="s">
        <v>26</v>
      </c>
      <c r="C2" s="2">
        <v>630000</v>
      </c>
      <c r="D2" s="2">
        <v>90000</v>
      </c>
      <c r="E2" s="2">
        <v>42000</v>
      </c>
      <c r="F2" s="2">
        <v>35000</v>
      </c>
    </row>
    <row r="3" spans="1:6" x14ac:dyDescent="0.25">
      <c r="A3">
        <v>2024</v>
      </c>
      <c r="B3" t="s">
        <v>27</v>
      </c>
      <c r="C3" s="2">
        <v>630000</v>
      </c>
      <c r="D3" s="2">
        <v>90000</v>
      </c>
      <c r="E3" s="2">
        <v>45000</v>
      </c>
      <c r="F3" s="2">
        <v>38000</v>
      </c>
    </row>
    <row r="4" spans="1:6" x14ac:dyDescent="0.25">
      <c r="A4">
        <v>2024</v>
      </c>
      <c r="B4" t="s">
        <v>28</v>
      </c>
      <c r="C4" s="2">
        <v>630000</v>
      </c>
      <c r="D4" s="2">
        <v>90000</v>
      </c>
      <c r="E4" s="2">
        <v>47000</v>
      </c>
      <c r="F4" s="2">
        <v>40000</v>
      </c>
    </row>
    <row r="5" spans="1:6" x14ac:dyDescent="0.25">
      <c r="A5">
        <v>2024</v>
      </c>
      <c r="B5" t="s">
        <v>29</v>
      </c>
      <c r="C5" s="2">
        <v>630000</v>
      </c>
      <c r="D5" s="2">
        <v>90000</v>
      </c>
      <c r="E5" s="2">
        <v>50000</v>
      </c>
      <c r="F5" s="2">
        <v>42000</v>
      </c>
    </row>
    <row r="6" spans="1:6" x14ac:dyDescent="0.25">
      <c r="A6">
        <v>2025</v>
      </c>
      <c r="B6" t="s">
        <v>26</v>
      </c>
      <c r="C6" s="2">
        <v>650000</v>
      </c>
      <c r="D6" s="2">
        <v>95000</v>
      </c>
      <c r="E6" s="2">
        <v>48000</v>
      </c>
      <c r="F6" s="2">
        <v>42000</v>
      </c>
    </row>
    <row r="7" spans="1:6" x14ac:dyDescent="0.25">
      <c r="A7">
        <v>2025</v>
      </c>
      <c r="B7" t="s">
        <v>27</v>
      </c>
      <c r="C7" s="2">
        <v>650000</v>
      </c>
      <c r="D7" s="2">
        <v>95000</v>
      </c>
      <c r="E7" s="2">
        <v>52000</v>
      </c>
      <c r="F7" s="2">
        <v>45000</v>
      </c>
    </row>
  </sheetData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workbookViewId="0">
      <selection activeCell="J37" sqref="J37"/>
    </sheetView>
  </sheetViews>
  <sheetFormatPr defaultRowHeight="15" x14ac:dyDescent="0.25"/>
  <sheetData>
    <row r="1" spans="1:5" x14ac:dyDescent="0.25">
      <c r="A1" t="s">
        <v>40</v>
      </c>
      <c r="B1" t="s">
        <v>41</v>
      </c>
      <c r="C1" t="s">
        <v>42</v>
      </c>
      <c r="D1" t="s">
        <v>43</v>
      </c>
      <c r="E1" t="s">
        <v>44</v>
      </c>
    </row>
    <row r="2" spans="1:5" x14ac:dyDescent="0.25">
      <c r="A2" t="s">
        <v>45</v>
      </c>
      <c r="B2" s="2">
        <v>40</v>
      </c>
      <c r="C2" s="2">
        <v>880</v>
      </c>
      <c r="D2" s="2">
        <v>840</v>
      </c>
      <c r="E2" s="2">
        <v>80</v>
      </c>
    </row>
    <row r="3" spans="1:5" x14ac:dyDescent="0.25">
      <c r="A3" t="s">
        <v>46</v>
      </c>
      <c r="B3" s="2">
        <v>25</v>
      </c>
      <c r="C3" s="2">
        <v>320</v>
      </c>
      <c r="D3" s="2">
        <v>300</v>
      </c>
      <c r="E3" s="2">
        <v>45</v>
      </c>
    </row>
    <row r="4" spans="1:5" x14ac:dyDescent="0.25">
      <c r="A4" t="s">
        <v>47</v>
      </c>
      <c r="B4" s="2">
        <v>10</v>
      </c>
      <c r="C4" s="2">
        <v>120</v>
      </c>
      <c r="D4" s="2">
        <v>110</v>
      </c>
      <c r="E4" s="2">
        <v>20</v>
      </c>
    </row>
  </sheetData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EB197-958D-4A6E-8F71-3037E9CC844A}">
  <dimension ref="A1:S29"/>
  <sheetViews>
    <sheetView tabSelected="1" zoomScale="70" zoomScaleNormal="70" workbookViewId="0">
      <selection activeCell="I5" sqref="I5"/>
    </sheetView>
  </sheetViews>
  <sheetFormatPr defaultRowHeight="15" x14ac:dyDescent="0.25"/>
  <cols>
    <col min="2" max="2" width="9.28515625" customWidth="1"/>
    <col min="4" max="4" width="19.85546875" customWidth="1"/>
    <col min="5" max="5" width="13.28515625" customWidth="1"/>
    <col min="6" max="6" width="20.28515625" customWidth="1"/>
    <col min="7" max="7" width="23.85546875" customWidth="1"/>
    <col min="8" max="8" width="30" customWidth="1"/>
    <col min="9" max="9" width="23" customWidth="1"/>
    <col min="10" max="10" width="22.7109375" customWidth="1"/>
    <col min="11" max="11" width="23.7109375" customWidth="1"/>
    <col min="12" max="12" width="22.85546875" customWidth="1"/>
    <col min="13" max="13" width="15.42578125" customWidth="1"/>
    <col min="14" max="14" width="18.140625" customWidth="1"/>
    <col min="16" max="26" width="9.140625" customWidth="1"/>
  </cols>
  <sheetData>
    <row r="1" spans="1:19" ht="23.25" x14ac:dyDescent="0.35">
      <c r="A1" s="5" t="s">
        <v>50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9" x14ac:dyDescent="0.25">
      <c r="A2" s="3" t="s">
        <v>51</v>
      </c>
    </row>
    <row r="3" spans="1:19" x14ac:dyDescent="0.25">
      <c r="A3" s="4" t="s">
        <v>48</v>
      </c>
      <c r="B3" s="4" t="s">
        <v>52</v>
      </c>
      <c r="C3" s="4" t="s">
        <v>49</v>
      </c>
      <c r="D3" s="4" t="s">
        <v>53</v>
      </c>
      <c r="E3" s="4" t="s">
        <v>54</v>
      </c>
    </row>
    <row r="4" spans="1:19" x14ac:dyDescent="0.25">
      <c r="A4" t="str" cm="1">
        <f t="array" ref="A4">INDEX(tblAnalysKvartal[Period],ROWS(tblAnalysKvartal[Period]))</f>
        <v>2025 Q2</v>
      </c>
      <c r="B4" cm="1">
        <f t="array" ref="B4">INDEX(tblAnalysKvartal[Total omsättning (SEK)],ROWS(tblAnalysKvartal[Total omsättning (SEK)]))</f>
        <v>532500</v>
      </c>
      <c r="C4" cm="1">
        <f t="array" ref="C4">INDEX(tblAnalysKvartal[Totala kostnader (SEK)],ROWS(tblAnalysKvartal[Totala kostnader (SEK)]))</f>
        <v>924500</v>
      </c>
      <c r="D4" cm="1">
        <f t="array" ref="D4">INDEX(tblAnalysKvartal[Resultat (SEK)],ROWS(tblAnalysKvartal[Resultat (SEK)]))</f>
        <v>-392000</v>
      </c>
      <c r="E4" cm="1">
        <f t="array" ref="E4">INDEX(tblAnalysKvartal[Resultatmarginal],ROWS(tblAnalysKvartal[Resultatmarginal]))</f>
        <v>-0.73615023474178409</v>
      </c>
    </row>
    <row r="6" spans="1:19" x14ac:dyDescent="0.25">
      <c r="P6" s="3" t="s">
        <v>61</v>
      </c>
    </row>
    <row r="7" spans="1:19" x14ac:dyDescent="0.25">
      <c r="A7" t="s">
        <v>21</v>
      </c>
      <c r="B7" t="s">
        <v>22</v>
      </c>
      <c r="C7" t="s">
        <v>48</v>
      </c>
      <c r="D7" t="s">
        <v>23</v>
      </c>
      <c r="E7" t="s">
        <v>33</v>
      </c>
      <c r="F7" t="s">
        <v>30</v>
      </c>
      <c r="G7" t="s">
        <v>35</v>
      </c>
      <c r="H7" t="s">
        <v>55</v>
      </c>
      <c r="I7" t="s">
        <v>56</v>
      </c>
      <c r="J7" t="s">
        <v>24</v>
      </c>
      <c r="K7" t="s">
        <v>57</v>
      </c>
      <c r="L7" t="s">
        <v>58</v>
      </c>
      <c r="M7" t="s">
        <v>59</v>
      </c>
      <c r="N7" t="s">
        <v>60</v>
      </c>
      <c r="P7" t="s">
        <v>48</v>
      </c>
      <c r="Q7" t="s">
        <v>52</v>
      </c>
      <c r="R7" t="s">
        <v>49</v>
      </c>
      <c r="S7" t="s">
        <v>53</v>
      </c>
    </row>
    <row r="8" spans="1:19" x14ac:dyDescent="0.25">
      <c r="A8">
        <v>2024</v>
      </c>
      <c r="B8" t="s">
        <v>26</v>
      </c>
      <c r="C8" t="str">
        <f>tblAnalysKvartal[[#This Row],[År]]&amp;" "&amp;tblAnalysKvartal[[#This Row],[Kvartal]]</f>
        <v>2024 Q1</v>
      </c>
      <c r="D8">
        <f>SUMIFS(tblProduktion[Producerade stolar],tblProduktion[År],tblAnalysKvartal[[#This Row],[År]],tblProduktion[Kvartal],tblAnalysKvartal[[#This Row],[Kvartal]])</f>
        <v>180</v>
      </c>
      <c r="E8">
        <f>SUMIFS(tblForsaljning[Sålda stolar],tblForsaljning[År],tblAnalysKvartal[[#This Row],[År]],tblForsaljning[Kvartal],tblAnalysKvartal[[#This Row],[Kvartal]])</f>
        <v>170</v>
      </c>
      <c r="F8">
        <f>SUMIFS(tblReparationer[Reparerade möbler],tblReparationer[År],tblAnalysKvartal[[#This Row],[År]],tblReparationer[Kvartal],tblAnalysKvartal[[#This Row],[Kvartal]])</f>
        <v>95</v>
      </c>
      <c r="G8">
        <f>SUMIFS(tblForsaljning[Omsättning stolar (SEK)],tblForsaljning[År],tblAnalysKvartal[[#This Row],[År]],tblForsaljning[Kvartal],tblAnalysKvartal[[#This Row],[Kvartal]])</f>
        <v>238000</v>
      </c>
      <c r="H8" cm="1">
        <f t="array" ref="H8">SUMPRODUCT((tblReparationer[År]=tblAnalysKvartal[[#This Row],[År]])*(tblReparationer[Kvartal]=tblAnalysKvartal[[#This Row],[Kvartal]])*tblReparationer[Reparerade möbler]*tblReparationer[Intäkt per reparation (SEK)])</f>
        <v>80750</v>
      </c>
      <c r="I8">
        <f>tblAnalysKvartal[[#This Row],[Omsättning stolar (SEK)]]+tblAnalysKvartal[[#This Row],[Omsättning reparationer (SEK)]]</f>
        <v>318750</v>
      </c>
      <c r="J8">
        <f>SUMIFS(tblProduktion[Materialkostnad (SEK)],tblProduktion[År],tblAnalysKvartal[[#This Row],[År]],tblProduktion[Kvartal],tblAnalysKvartal[[#This Row],[Kvartal]])</f>
        <v>54000</v>
      </c>
      <c r="K8">
        <f>SUMIFS(tblKostnader[Löner (SEK)],tblKostnader[År],tblAnalysKvartal[[#This Row],[År]],tblKostnader[Kvartal],tblAnalysKvartal[[#This Row],[Kvartal]]) + SUMIFS(tblKostnader[Hyra (SEK)],tblKostnader[År],tblAnalysKvartal[[#This Row],[År]],tblKostnader[Kvartal],tblAnalysKvartal[[#This Row],[Kvartal]]) + SUMIFS(tblKostnader[El &amp; drift (SEK)],tblKostnader[År],tblAnalysKvartal[[#This Row],[År]],tblKostnader[Kvartal],tblAnalysKvartal[[#This Row],[Kvartal]]) + SUMIFS(tblKostnader[Övrigt (SEK)],tblKostnader[År],tblAnalysKvartal[[#This Row],[År]],tblKostnader[Kvartal],tblAnalysKvartal[[#This Row],[Kvartal]])</f>
        <v>797000</v>
      </c>
      <c r="L8">
        <f>tblAnalysKvartal[[#This Row],[Materialkostnad (SEK)]]+tblAnalysKvartal[[#This Row],[Rörelsekostnader (SEK)]]</f>
        <v>851000</v>
      </c>
      <c r="M8">
        <f>tblAnalysKvartal[[#This Row],[Total omsättning (SEK)]]-tblAnalysKvartal[[#This Row],[Totala kostnader (SEK)]]</f>
        <v>-532250</v>
      </c>
      <c r="N8">
        <f>IFERROR(tblAnalysKvartal[[#This Row],[Resultat (SEK)]]/tblAnalysKvartal[[#This Row],[Total omsättning (SEK)]],0)</f>
        <v>-1.6698039215686276</v>
      </c>
      <c r="P8" t="str">
        <f>INDEX(tblAnalysKvartal[Period],1)</f>
        <v>2024 Q1</v>
      </c>
      <c r="Q8">
        <f>INDEX(tblAnalysKvartal[Total omsättning (SEK)],1)</f>
        <v>318750</v>
      </c>
      <c r="R8">
        <f>INDEX(tblAnalysKvartal[Totala kostnader (SEK)],1)</f>
        <v>851000</v>
      </c>
      <c r="S8">
        <f>INDEX(tblAnalysKvartal[Resultat (SEK)],1)</f>
        <v>-532250</v>
      </c>
    </row>
    <row r="9" spans="1:19" x14ac:dyDescent="0.25">
      <c r="A9">
        <v>2024</v>
      </c>
      <c r="B9" t="s">
        <v>27</v>
      </c>
      <c r="C9" t="str">
        <f>tblAnalysKvartal[[#This Row],[År]]&amp;" "&amp;tblAnalysKvartal[[#This Row],[Kvartal]]</f>
        <v>2024 Q2</v>
      </c>
      <c r="D9">
        <f>SUMIFS(tblProduktion[Producerade stolar],tblProduktion[År],tblAnalysKvartal[[#This Row],[År]],tblProduktion[Kvartal],tblAnalysKvartal[[#This Row],[Kvartal]])</f>
        <v>210</v>
      </c>
      <c r="E9">
        <f>SUMIFS(tblForsaljning[Sålda stolar],tblForsaljning[År],tblAnalysKvartal[[#This Row],[År]],tblForsaljning[Kvartal],tblAnalysKvartal[[#This Row],[Kvartal]])</f>
        <v>200</v>
      </c>
      <c r="F9">
        <f>SUMIFS(tblReparationer[Reparerade möbler],tblReparationer[År],tblAnalysKvartal[[#This Row],[År]],tblReparationer[Kvartal],tblAnalysKvartal[[#This Row],[Kvartal]])</f>
        <v>110</v>
      </c>
      <c r="G9">
        <f>SUMIFS(tblForsaljning[Omsättning stolar (SEK)],tblForsaljning[År],tblAnalysKvartal[[#This Row],[År]],tblForsaljning[Kvartal],tblAnalysKvartal[[#This Row],[Kvartal]])</f>
        <v>280000</v>
      </c>
      <c r="H9" cm="1">
        <f t="array" ref="H9">SUMPRODUCT((tblReparationer[År]=tblAnalysKvartal[[#This Row],[År]])*(tblReparationer[Kvartal]=tblAnalysKvartal[[#This Row],[Kvartal]])*tblReparationer[Reparerade möbler]*tblReparationer[Intäkt per reparation (SEK)])</f>
        <v>95700</v>
      </c>
      <c r="I9">
        <f>tblAnalysKvartal[[#This Row],[Omsättning stolar (SEK)]]+tblAnalysKvartal[[#This Row],[Omsättning reparationer (SEK)]]</f>
        <v>375700</v>
      </c>
      <c r="J9">
        <f>SUMIFS(tblProduktion[Materialkostnad (SEK)],tblProduktion[År],tblAnalysKvartal[[#This Row],[År]],tblProduktion[Kvartal],tblAnalysKvartal[[#This Row],[Kvartal]])</f>
        <v>63000</v>
      </c>
      <c r="K9">
        <f>SUMIFS(tblKostnader[Löner (SEK)],tblKostnader[År],tblAnalysKvartal[[#This Row],[År]],tblKostnader[Kvartal],tblAnalysKvartal[[#This Row],[Kvartal]]) + SUMIFS(tblKostnader[Hyra (SEK)],tblKostnader[År],tblAnalysKvartal[[#This Row],[År]],tblKostnader[Kvartal],tblAnalysKvartal[[#This Row],[Kvartal]]) + SUMIFS(tblKostnader[El &amp; drift (SEK)],tblKostnader[År],tblAnalysKvartal[[#This Row],[År]],tblKostnader[Kvartal],tblAnalysKvartal[[#This Row],[Kvartal]]) + SUMIFS(tblKostnader[Övrigt (SEK)],tblKostnader[År],tblAnalysKvartal[[#This Row],[År]],tblKostnader[Kvartal],tblAnalysKvartal[[#This Row],[Kvartal]])</f>
        <v>803000</v>
      </c>
      <c r="L9">
        <f>tblAnalysKvartal[[#This Row],[Materialkostnad (SEK)]]+tblAnalysKvartal[[#This Row],[Rörelsekostnader (SEK)]]</f>
        <v>866000</v>
      </c>
      <c r="M9">
        <f>tblAnalysKvartal[[#This Row],[Total omsättning (SEK)]]-tblAnalysKvartal[[#This Row],[Totala kostnader (SEK)]]</f>
        <v>-490300</v>
      </c>
      <c r="N9">
        <f>IFERROR(tblAnalysKvartal[[#This Row],[Resultat (SEK)]]/tblAnalysKvartal[[#This Row],[Total omsättning (SEK)]],0)</f>
        <v>-1.3050306095288795</v>
      </c>
      <c r="P9" t="str">
        <f>INDEX(tblAnalysKvartal[Period],2)</f>
        <v>2024 Q2</v>
      </c>
      <c r="Q9">
        <f>INDEX(tblAnalysKvartal[Total omsättning (SEK)],2)</f>
        <v>375700</v>
      </c>
      <c r="R9">
        <f>INDEX(tblAnalysKvartal[Totala kostnader (SEK)],2)</f>
        <v>866000</v>
      </c>
      <c r="S9">
        <f>INDEX(tblAnalysKvartal[Resultat (SEK)],2)</f>
        <v>-490300</v>
      </c>
    </row>
    <row r="10" spans="1:19" x14ac:dyDescent="0.25">
      <c r="A10">
        <v>2024</v>
      </c>
      <c r="B10" t="s">
        <v>28</v>
      </c>
      <c r="C10" t="str">
        <f>tblAnalysKvartal[[#This Row],[År]]&amp;" "&amp;tblAnalysKvartal[[#This Row],[Kvartal]]</f>
        <v>2024 Q3</v>
      </c>
      <c r="D10">
        <f>SUMIFS(tblProduktion[Producerade stolar],tblProduktion[År],tblAnalysKvartal[[#This Row],[År]],tblProduktion[Kvartal],tblAnalysKvartal[[#This Row],[Kvartal]])</f>
        <v>230</v>
      </c>
      <c r="E10">
        <f>SUMIFS(tblForsaljning[Sålda stolar],tblForsaljning[År],tblAnalysKvartal[[#This Row],[År]],tblForsaljning[Kvartal],tblAnalysKvartal[[#This Row],[Kvartal]])</f>
        <v>220</v>
      </c>
      <c r="F10">
        <f>SUMIFS(tblReparationer[Reparerade möbler],tblReparationer[År],tblAnalysKvartal[[#This Row],[År]],tblReparationer[Kvartal],tblAnalysKvartal[[#This Row],[Kvartal]])</f>
        <v>120</v>
      </c>
      <c r="G10">
        <f>SUMIFS(tblForsaljning[Omsättning stolar (SEK)],tblForsaljning[År],tblAnalysKvartal[[#This Row],[År]],tblForsaljning[Kvartal],tblAnalysKvartal[[#This Row],[Kvartal]])</f>
        <v>319000</v>
      </c>
      <c r="H10" cm="1">
        <f t="array" ref="H10">SUMPRODUCT((tblReparationer[År]=tblAnalysKvartal[[#This Row],[År]])*(tblReparationer[Kvartal]=tblAnalysKvartal[[#This Row],[Kvartal]])*tblReparationer[Reparerade möbler]*tblReparationer[Intäkt per reparation (SEK)])</f>
        <v>108000</v>
      </c>
      <c r="I10">
        <f>tblAnalysKvartal[[#This Row],[Omsättning stolar (SEK)]]+tblAnalysKvartal[[#This Row],[Omsättning reparationer (SEK)]]</f>
        <v>427000</v>
      </c>
      <c r="J10">
        <f>SUMIFS(tblProduktion[Materialkostnad (SEK)],tblProduktion[År],tblAnalysKvartal[[#This Row],[År]],tblProduktion[Kvartal],tblAnalysKvartal[[#This Row],[Kvartal]])</f>
        <v>69000</v>
      </c>
      <c r="K10">
        <f>SUMIFS(tblKostnader[Löner (SEK)],tblKostnader[År],tblAnalysKvartal[[#This Row],[År]],tblKostnader[Kvartal],tblAnalysKvartal[[#This Row],[Kvartal]]) + SUMIFS(tblKostnader[Hyra (SEK)],tblKostnader[År],tblAnalysKvartal[[#This Row],[År]],tblKostnader[Kvartal],tblAnalysKvartal[[#This Row],[Kvartal]]) + SUMIFS(tblKostnader[El &amp; drift (SEK)],tblKostnader[År],tblAnalysKvartal[[#This Row],[År]],tblKostnader[Kvartal],tblAnalysKvartal[[#This Row],[Kvartal]]) + SUMIFS(tblKostnader[Övrigt (SEK)],tblKostnader[År],tblAnalysKvartal[[#This Row],[År]],tblKostnader[Kvartal],tblAnalysKvartal[[#This Row],[Kvartal]])</f>
        <v>807000</v>
      </c>
      <c r="L10">
        <f>tblAnalysKvartal[[#This Row],[Materialkostnad (SEK)]]+tblAnalysKvartal[[#This Row],[Rörelsekostnader (SEK)]]</f>
        <v>876000</v>
      </c>
      <c r="M10">
        <f>tblAnalysKvartal[[#This Row],[Total omsättning (SEK)]]-tblAnalysKvartal[[#This Row],[Totala kostnader (SEK)]]</f>
        <v>-449000</v>
      </c>
      <c r="N10">
        <f>IFERROR(tblAnalysKvartal[[#This Row],[Resultat (SEK)]]/tblAnalysKvartal[[#This Row],[Total omsättning (SEK)]],0)</f>
        <v>-1.0515222482435598</v>
      </c>
      <c r="P10" t="str">
        <f>INDEX(tblAnalysKvartal[Period],3)</f>
        <v>2024 Q3</v>
      </c>
      <c r="Q10">
        <f>INDEX(tblAnalysKvartal[Total omsättning (SEK)],3)</f>
        <v>427000</v>
      </c>
      <c r="R10">
        <f>INDEX(tblAnalysKvartal[Totala kostnader (SEK)],3)</f>
        <v>876000</v>
      </c>
      <c r="S10">
        <f>INDEX(tblAnalysKvartal[Resultat (SEK)],3)</f>
        <v>-449000</v>
      </c>
    </row>
    <row r="11" spans="1:19" x14ac:dyDescent="0.25">
      <c r="A11">
        <v>2024</v>
      </c>
      <c r="B11" t="s">
        <v>29</v>
      </c>
      <c r="C11" t="str">
        <f>tblAnalysKvartal[[#This Row],[År]]&amp;" "&amp;tblAnalysKvartal[[#This Row],[Kvartal]]</f>
        <v>2024 Q4</v>
      </c>
      <c r="D11">
        <f>SUMIFS(tblProduktion[Producerade stolar],tblProduktion[År],tblAnalysKvartal[[#This Row],[År]],tblProduktion[Kvartal],tblAnalysKvartal[[#This Row],[Kvartal]])</f>
        <v>260</v>
      </c>
      <c r="E11">
        <f>SUMIFS(tblForsaljning[Sålda stolar],tblForsaljning[År],tblAnalysKvartal[[#This Row],[År]],tblForsaljning[Kvartal],tblAnalysKvartal[[#This Row],[Kvartal]])</f>
        <v>250</v>
      </c>
      <c r="F11">
        <f>SUMIFS(tblReparationer[Reparerade möbler],tblReparationer[År],tblAnalysKvartal[[#This Row],[År]],tblReparationer[Kvartal],tblAnalysKvartal[[#This Row],[Kvartal]])</f>
        <v>140</v>
      </c>
      <c r="G11">
        <f>SUMIFS(tblForsaljning[Omsättning stolar (SEK)],tblForsaljning[År],tblAnalysKvartal[[#This Row],[År]],tblForsaljning[Kvartal],tblAnalysKvartal[[#This Row],[Kvartal]])</f>
        <v>362500</v>
      </c>
      <c r="H11" cm="1">
        <f t="array" ref="H11">SUMPRODUCT((tblReparationer[År]=tblAnalysKvartal[[#This Row],[År]])*(tblReparationer[Kvartal]=tblAnalysKvartal[[#This Row],[Kvartal]])*tblReparationer[Reparerade möbler]*tblReparationer[Intäkt per reparation (SEK)])</f>
        <v>128800</v>
      </c>
      <c r="I11">
        <f>tblAnalysKvartal[[#This Row],[Omsättning stolar (SEK)]]+tblAnalysKvartal[[#This Row],[Omsättning reparationer (SEK)]]</f>
        <v>491300</v>
      </c>
      <c r="J11">
        <f>SUMIFS(tblProduktion[Materialkostnad (SEK)],tblProduktion[År],tblAnalysKvartal[[#This Row],[År]],tblProduktion[Kvartal],tblAnalysKvartal[[#This Row],[Kvartal]])</f>
        <v>78000</v>
      </c>
      <c r="K11">
        <f>SUMIFS(tblKostnader[Löner (SEK)],tblKostnader[År],tblAnalysKvartal[[#This Row],[År]],tblKostnader[Kvartal],tblAnalysKvartal[[#This Row],[Kvartal]]) + SUMIFS(tblKostnader[Hyra (SEK)],tblKostnader[År],tblAnalysKvartal[[#This Row],[År]],tblKostnader[Kvartal],tblAnalysKvartal[[#This Row],[Kvartal]]) + SUMIFS(tblKostnader[El &amp; drift (SEK)],tblKostnader[År],tblAnalysKvartal[[#This Row],[År]],tblKostnader[Kvartal],tblAnalysKvartal[[#This Row],[Kvartal]]) + SUMIFS(tblKostnader[Övrigt (SEK)],tblKostnader[År],tblAnalysKvartal[[#This Row],[År]],tblKostnader[Kvartal],tblAnalysKvartal[[#This Row],[Kvartal]])</f>
        <v>812000</v>
      </c>
      <c r="L11">
        <f>tblAnalysKvartal[[#This Row],[Materialkostnad (SEK)]]+tblAnalysKvartal[[#This Row],[Rörelsekostnader (SEK)]]</f>
        <v>890000</v>
      </c>
      <c r="M11">
        <f>tblAnalysKvartal[[#This Row],[Total omsättning (SEK)]]-tblAnalysKvartal[[#This Row],[Totala kostnader (SEK)]]</f>
        <v>-398700</v>
      </c>
      <c r="N11">
        <f>IFERROR(tblAnalysKvartal[[#This Row],[Resultat (SEK)]]/tblAnalysKvartal[[#This Row],[Total omsättning (SEK)]],0)</f>
        <v>-0.81152045593323829</v>
      </c>
      <c r="P11" t="str">
        <f>INDEX(tblAnalysKvartal[Period],4)</f>
        <v>2024 Q4</v>
      </c>
      <c r="Q11">
        <f>INDEX(tblAnalysKvartal[Total omsättning (SEK)],4)</f>
        <v>491300</v>
      </c>
      <c r="R11">
        <f>INDEX(tblAnalysKvartal[Totala kostnader (SEK)],4)</f>
        <v>890000</v>
      </c>
      <c r="S11">
        <f>INDEX(tblAnalysKvartal[Resultat (SEK)],4)</f>
        <v>-398700</v>
      </c>
    </row>
    <row r="12" spans="1:19" x14ac:dyDescent="0.25">
      <c r="A12">
        <v>2025</v>
      </c>
      <c r="B12" t="s">
        <v>26</v>
      </c>
      <c r="C12" t="str">
        <f>tblAnalysKvartal[[#This Row],[År]]&amp;" "&amp;tblAnalysKvartal[[#This Row],[Kvartal]]</f>
        <v>2025 Q1</v>
      </c>
      <c r="D12">
        <f>SUMIFS(tblProduktion[Producerade stolar],tblProduktion[År],tblAnalysKvartal[[#This Row],[År]],tblProduktion[Kvartal],tblAnalysKvartal[[#This Row],[Kvartal]])</f>
        <v>240</v>
      </c>
      <c r="E12">
        <f>SUMIFS(tblForsaljning[Sålda stolar],tblForsaljning[År],tblAnalysKvartal[[#This Row],[År]],tblForsaljning[Kvartal],tblAnalysKvartal[[#This Row],[Kvartal]])</f>
        <v>230</v>
      </c>
      <c r="F12">
        <f>SUMIFS(tblReparationer[Reparerade möbler],tblReparationer[År],tblAnalysKvartal[[#This Row],[År]],tblReparationer[Kvartal],tblAnalysKvartal[[#This Row],[Kvartal]])</f>
        <v>135</v>
      </c>
      <c r="G12">
        <f>SUMIFS(tblForsaljning[Omsättning stolar (SEK)],tblForsaljning[År],tblAnalysKvartal[[#This Row],[År]],tblForsaljning[Kvartal],tblAnalysKvartal[[#This Row],[Kvartal]])</f>
        <v>345000</v>
      </c>
      <c r="H12" cm="1">
        <f t="array" ref="H12">SUMPRODUCT((tblReparationer[År]=tblAnalysKvartal[[#This Row],[År]])*(tblReparationer[Kvartal]=tblAnalysKvartal[[#This Row],[Kvartal]])*tblReparationer[Reparerade möbler]*tblReparationer[Intäkt per reparation (SEK)])</f>
        <v>125550</v>
      </c>
      <c r="I12">
        <f>tblAnalysKvartal[[#This Row],[Omsättning stolar (SEK)]]+tblAnalysKvartal[[#This Row],[Omsättning reparationer (SEK)]]</f>
        <v>470550</v>
      </c>
      <c r="J12">
        <f>SUMIFS(tblProduktion[Materialkostnad (SEK)],tblProduktion[År],tblAnalysKvartal[[#This Row],[År]],tblProduktion[Kvartal],tblAnalysKvartal[[#This Row],[Kvartal]])</f>
        <v>72000</v>
      </c>
      <c r="K12">
        <f>SUMIFS(tblKostnader[Löner (SEK)],tblKostnader[År],tblAnalysKvartal[[#This Row],[År]],tblKostnader[Kvartal],tblAnalysKvartal[[#This Row],[Kvartal]]) + SUMIFS(tblKostnader[Hyra (SEK)],tblKostnader[År],tblAnalysKvartal[[#This Row],[År]],tblKostnader[Kvartal],tblAnalysKvartal[[#This Row],[Kvartal]]) + SUMIFS(tblKostnader[El &amp; drift (SEK)],tblKostnader[År],tblAnalysKvartal[[#This Row],[År]],tblKostnader[Kvartal],tblAnalysKvartal[[#This Row],[Kvartal]]) + SUMIFS(tblKostnader[Övrigt (SEK)],tblKostnader[År],tblAnalysKvartal[[#This Row],[År]],tblKostnader[Kvartal],tblAnalysKvartal[[#This Row],[Kvartal]])</f>
        <v>835000</v>
      </c>
      <c r="L12">
        <f>tblAnalysKvartal[[#This Row],[Materialkostnad (SEK)]]+tblAnalysKvartal[[#This Row],[Rörelsekostnader (SEK)]]</f>
        <v>907000</v>
      </c>
      <c r="M12">
        <f>tblAnalysKvartal[[#This Row],[Total omsättning (SEK)]]-tblAnalysKvartal[[#This Row],[Totala kostnader (SEK)]]</f>
        <v>-436450</v>
      </c>
      <c r="N12">
        <f>IFERROR(tblAnalysKvartal[[#This Row],[Resultat (SEK)]]/tblAnalysKvartal[[#This Row],[Total omsättning (SEK)]],0)</f>
        <v>-0.92753161194347045</v>
      </c>
      <c r="P12" t="str">
        <f>INDEX(tblAnalysKvartal[Period],5)</f>
        <v>2025 Q1</v>
      </c>
      <c r="Q12">
        <f>INDEX(tblAnalysKvartal[Total omsättning (SEK)],5)</f>
        <v>470550</v>
      </c>
      <c r="R12">
        <f>INDEX(tblAnalysKvartal[Totala kostnader (SEK)],5)</f>
        <v>907000</v>
      </c>
      <c r="S12">
        <f>INDEX(tblAnalysKvartal[Resultat (SEK)],5)</f>
        <v>-436450</v>
      </c>
    </row>
    <row r="13" spans="1:19" x14ac:dyDescent="0.25">
      <c r="A13">
        <v>2025</v>
      </c>
      <c r="B13" t="s">
        <v>27</v>
      </c>
      <c r="C13" t="str">
        <f>tblAnalysKvartal[[#This Row],[År]]&amp;" "&amp;tblAnalysKvartal[[#This Row],[Kvartal]]</f>
        <v>2025 Q2</v>
      </c>
      <c r="D13">
        <f>SUMIFS(tblProduktion[Producerade stolar],tblProduktion[År],tblAnalysKvartal[[#This Row],[År]],tblProduktion[Kvartal],tblAnalysKvartal[[#This Row],[Kvartal]])</f>
        <v>275</v>
      </c>
      <c r="E13">
        <f>SUMIFS(tblForsaljning[Sålda stolar],tblForsaljning[År],tblAnalysKvartal[[#This Row],[År]],tblForsaljning[Kvartal],tblAnalysKvartal[[#This Row],[Kvartal]])</f>
        <v>260</v>
      </c>
      <c r="F13">
        <f>SUMIFS(tblReparationer[Reparerade möbler],tblReparationer[År],tblAnalysKvartal[[#This Row],[År]],tblReparationer[Kvartal],tblAnalysKvartal[[#This Row],[Kvartal]])</f>
        <v>150</v>
      </c>
      <c r="G13">
        <f>SUMIFS(tblForsaljning[Omsättning stolar (SEK)],tblForsaljning[År],tblAnalysKvartal[[#This Row],[År]],tblForsaljning[Kvartal],tblAnalysKvartal[[#This Row],[Kvartal]])</f>
        <v>390000</v>
      </c>
      <c r="H13" cm="1">
        <f t="array" ref="H13">SUMPRODUCT((tblReparationer[År]=tblAnalysKvartal[[#This Row],[År]])*(tblReparationer[Kvartal]=tblAnalysKvartal[[#This Row],[Kvartal]])*tblReparationer[Reparerade möbler]*tblReparationer[Intäkt per reparation (SEK)])</f>
        <v>142500</v>
      </c>
      <c r="I13">
        <f>tblAnalysKvartal[[#This Row],[Omsättning stolar (SEK)]]+tblAnalysKvartal[[#This Row],[Omsättning reparationer (SEK)]]</f>
        <v>532500</v>
      </c>
      <c r="J13">
        <f>SUMIFS(tblProduktion[Materialkostnad (SEK)],tblProduktion[År],tblAnalysKvartal[[#This Row],[År]],tblProduktion[Kvartal],tblAnalysKvartal[[#This Row],[Kvartal]])</f>
        <v>82500</v>
      </c>
      <c r="K13">
        <f>SUMIFS(tblKostnader[Löner (SEK)],tblKostnader[År],tblAnalysKvartal[[#This Row],[År]],tblKostnader[Kvartal],tblAnalysKvartal[[#This Row],[Kvartal]]) + SUMIFS(tblKostnader[Hyra (SEK)],tblKostnader[År],tblAnalysKvartal[[#This Row],[År]],tblKostnader[Kvartal],tblAnalysKvartal[[#This Row],[Kvartal]]) + SUMIFS(tblKostnader[El &amp; drift (SEK)],tblKostnader[År],tblAnalysKvartal[[#This Row],[År]],tblKostnader[Kvartal],tblAnalysKvartal[[#This Row],[Kvartal]]) + SUMIFS(tblKostnader[Övrigt (SEK)],tblKostnader[År],tblAnalysKvartal[[#This Row],[År]],tblKostnader[Kvartal],tblAnalysKvartal[[#This Row],[Kvartal]])</f>
        <v>842000</v>
      </c>
      <c r="L13">
        <f>tblAnalysKvartal[[#This Row],[Materialkostnad (SEK)]]+tblAnalysKvartal[[#This Row],[Rörelsekostnader (SEK)]]</f>
        <v>924500</v>
      </c>
      <c r="M13">
        <f>tblAnalysKvartal[[#This Row],[Total omsättning (SEK)]]-tblAnalysKvartal[[#This Row],[Totala kostnader (SEK)]]</f>
        <v>-392000</v>
      </c>
      <c r="N13">
        <f>IFERROR(tblAnalysKvartal[[#This Row],[Resultat (SEK)]]/tblAnalysKvartal[[#This Row],[Total omsättning (SEK)]],0)</f>
        <v>-0.73615023474178409</v>
      </c>
      <c r="P13" t="str">
        <f>INDEX(tblAnalysKvartal[Period],6)</f>
        <v>2025 Q2</v>
      </c>
      <c r="Q13">
        <f>INDEX(tblAnalysKvartal[Total omsättning (SEK)],6)</f>
        <v>532500</v>
      </c>
      <c r="R13">
        <f>INDEX(tblAnalysKvartal[Totala kostnader (SEK)],6)</f>
        <v>924500</v>
      </c>
      <c r="S13">
        <f>INDEX(tblAnalysKvartal[Resultat (SEK)],6)</f>
        <v>-392000</v>
      </c>
    </row>
    <row r="15" spans="1:19" x14ac:dyDescent="0.25">
      <c r="P15" t="s">
        <v>48</v>
      </c>
      <c r="Q15" t="s">
        <v>62</v>
      </c>
      <c r="R15" t="s">
        <v>63</v>
      </c>
    </row>
    <row r="16" spans="1:19" x14ac:dyDescent="0.25">
      <c r="P16" t="str">
        <f>INDEX(tblAnalysKvartal[Period],1)</f>
        <v>2024 Q1</v>
      </c>
      <c r="Q16">
        <f>INDEX(tblAnalysKvartal[Producerade stolar],1)</f>
        <v>180</v>
      </c>
      <c r="R16">
        <f>INDEX(tblAnalysKvartal[Sålda stolar],1)</f>
        <v>170</v>
      </c>
    </row>
    <row r="17" spans="16:18" x14ac:dyDescent="0.25">
      <c r="P17" t="str">
        <f>INDEX(tblAnalysKvartal[Period],2)</f>
        <v>2024 Q2</v>
      </c>
      <c r="Q17">
        <f>INDEX(tblAnalysKvartal[Producerade stolar],2)</f>
        <v>210</v>
      </c>
      <c r="R17">
        <f>INDEX(tblAnalysKvartal[Sålda stolar],2)</f>
        <v>200</v>
      </c>
    </row>
    <row r="18" spans="16:18" x14ac:dyDescent="0.25">
      <c r="P18" t="str">
        <f>INDEX(tblAnalysKvartal[Period],3)</f>
        <v>2024 Q3</v>
      </c>
      <c r="Q18">
        <f>INDEX(tblAnalysKvartal[Producerade stolar],3)</f>
        <v>230</v>
      </c>
      <c r="R18">
        <f>INDEX(tblAnalysKvartal[Sålda stolar],3)</f>
        <v>220</v>
      </c>
    </row>
    <row r="19" spans="16:18" x14ac:dyDescent="0.25">
      <c r="P19" t="str">
        <f>INDEX(tblAnalysKvartal[Period],4)</f>
        <v>2024 Q4</v>
      </c>
      <c r="Q19">
        <f>INDEX(tblAnalysKvartal[Producerade stolar],4)</f>
        <v>260</v>
      </c>
      <c r="R19">
        <f>INDEX(tblAnalysKvartal[Sålda stolar],4)</f>
        <v>250</v>
      </c>
    </row>
    <row r="20" spans="16:18" x14ac:dyDescent="0.25">
      <c r="P20" t="str">
        <f>INDEX(tblAnalysKvartal[Period],5)</f>
        <v>2025 Q1</v>
      </c>
      <c r="Q20">
        <f>INDEX(tblAnalysKvartal[Producerade stolar],5)</f>
        <v>240</v>
      </c>
      <c r="R20">
        <f>INDEX(tblAnalysKvartal[Sålda stolar],5)</f>
        <v>230</v>
      </c>
    </row>
    <row r="21" spans="16:18" x14ac:dyDescent="0.25">
      <c r="P21" t="str">
        <f>INDEX(tblAnalysKvartal[Period],6)</f>
        <v>2025 Q2</v>
      </c>
      <c r="Q21">
        <f>INDEX(tblAnalysKvartal[Producerade stolar],6)</f>
        <v>275</v>
      </c>
      <c r="R21">
        <f>INDEX(tblAnalysKvartal[Sålda stolar],6)</f>
        <v>260</v>
      </c>
    </row>
    <row r="23" spans="16:18" x14ac:dyDescent="0.25">
      <c r="P23" t="s">
        <v>48</v>
      </c>
      <c r="Q23" t="s">
        <v>64</v>
      </c>
    </row>
    <row r="24" spans="16:18" x14ac:dyDescent="0.25">
      <c r="P24" t="str">
        <f>INDEX(tblAnalysKvartal[Period],1)</f>
        <v>2024 Q1</v>
      </c>
      <c r="Q24">
        <f>INDEX(tblAnalysKvartal[Reparerade möbler],1)</f>
        <v>95</v>
      </c>
    </row>
    <row r="25" spans="16:18" x14ac:dyDescent="0.25">
      <c r="P25" t="str">
        <f>INDEX(tblAnalysKvartal[Period],2)</f>
        <v>2024 Q2</v>
      </c>
      <c r="Q25">
        <f>INDEX(tblAnalysKvartal[Reparerade möbler],2)</f>
        <v>110</v>
      </c>
    </row>
    <row r="26" spans="16:18" x14ac:dyDescent="0.25">
      <c r="P26" t="str">
        <f>INDEX(tblAnalysKvartal[Period],3)</f>
        <v>2024 Q3</v>
      </c>
      <c r="Q26">
        <f>INDEX(tblAnalysKvartal[Reparerade möbler],3)</f>
        <v>120</v>
      </c>
    </row>
    <row r="27" spans="16:18" x14ac:dyDescent="0.25">
      <c r="P27" t="str">
        <f>INDEX(tblAnalysKvartal[Period],4)</f>
        <v>2024 Q4</v>
      </c>
      <c r="Q27">
        <f>INDEX(tblAnalysKvartal[Reparerade möbler],4)</f>
        <v>140</v>
      </c>
    </row>
    <row r="28" spans="16:18" x14ac:dyDescent="0.25">
      <c r="P28" t="str">
        <f>INDEX(tblAnalysKvartal[Period],5)</f>
        <v>2025 Q1</v>
      </c>
      <c r="Q28">
        <f>INDEX(tblAnalysKvartal[Reparerade möbler],5)</f>
        <v>135</v>
      </c>
    </row>
    <row r="29" spans="16:18" x14ac:dyDescent="0.25">
      <c r="P29" t="str">
        <f>INDEX(tblAnalysKvartal[Period],6)</f>
        <v>2025 Q2</v>
      </c>
      <c r="Q29">
        <f>INDEX(tblAnalysKvartal[Reparerade möbler],6)</f>
        <v>150</v>
      </c>
    </row>
  </sheetData>
  <mergeCells count="1">
    <mergeCell ref="A1:N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Anställda</vt:lpstr>
      <vt:lpstr>Produktion</vt:lpstr>
      <vt:lpstr>Reparationer</vt:lpstr>
      <vt:lpstr>Försäljning</vt:lpstr>
      <vt:lpstr>Kostnader</vt:lpstr>
      <vt:lpstr>Lager</vt:lpstr>
      <vt:lpstr>Analys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David Stavegård</cp:lastModifiedBy>
  <dcterms:created xsi:type="dcterms:W3CDTF">2026-03-09T13:06:28Z</dcterms:created>
  <dcterms:modified xsi:type="dcterms:W3CDTF">2026-03-11T16:14:35Z</dcterms:modified>
</cp:coreProperties>
</file>